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231"/>
  <workbookPr defaultThemeVersion="166925"/>
  <mc:AlternateContent xmlns:mc="http://schemas.openxmlformats.org/markup-compatibility/2006">
    <mc:Choice Requires="x15">
      <x15ac:absPath xmlns:x15ac="http://schemas.microsoft.com/office/spreadsheetml/2010/11/ac" url="J:\ADATA UFD\Обработка данных\Анализ данных\"/>
    </mc:Choice>
  </mc:AlternateContent>
  <xr:revisionPtr revIDLastSave="0" documentId="13_ncr:1_{CB502C00-F417-43F7-9208-02D317F71D02}" xr6:coauthVersionLast="47" xr6:coauthVersionMax="47" xr10:uidLastSave="{00000000-0000-0000-0000-000000000000}"/>
  <bookViews>
    <workbookView xWindow="1956" yWindow="972" windowWidth="18768" windowHeight="11964" activeTab="1" xr2:uid="{00000000-000D-0000-FFFF-FFFF00000000}"/>
  </bookViews>
  <sheets>
    <sheet name="Лист1" sheetId="1" r:id="rId1"/>
    <sheet name="Лист2" sheetId="2" r:id="rId2"/>
  </sheets>
  <definedNames>
    <definedName name="A">Лист1!$E$43:$E$46</definedName>
    <definedName name="X">Лист1!$E$6:$H$13</definedName>
    <definedName name="Xt">Лист1!$E$19:$L$22</definedName>
    <definedName name="XtX">Лист1!$E$25:$H$28</definedName>
    <definedName name="XtXobr">Лист1!$E$31:$H$34</definedName>
    <definedName name="XtY">Лист1!$E$37:$E$40</definedName>
    <definedName name="Y">Лист1!$C$6:$C$13</definedName>
  </definedName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K21" i="2" l="1"/>
  <c r="S4" i="2"/>
  <c r="G13" i="2"/>
  <c r="D52" i="2"/>
  <c r="D48" i="2"/>
  <c r="C41" i="2"/>
  <c r="C50" i="1"/>
  <c r="D16" i="2" a="1"/>
  <c r="D16" i="2" s="1"/>
  <c r="I61" i="1"/>
  <c r="D57" i="1"/>
  <c r="D16" i="1"/>
  <c r="F8" i="1" s="1"/>
  <c r="D15" i="1"/>
  <c r="D14" i="1"/>
  <c r="H8" i="1" l="1"/>
  <c r="G8" i="1"/>
  <c r="F11" i="1"/>
  <c r="F7" i="1"/>
  <c r="F6" i="1"/>
  <c r="F10" i="1"/>
  <c r="F13" i="1"/>
  <c r="F9" i="1"/>
  <c r="F12" i="1"/>
  <c r="K18" i="2"/>
  <c r="G17" i="2"/>
  <c r="J18" i="2"/>
  <c r="F18" i="2"/>
  <c r="J17" i="2"/>
  <c r="F17" i="2"/>
  <c r="J16" i="2"/>
  <c r="F16" i="2"/>
  <c r="K17" i="2"/>
  <c r="K16" i="2"/>
  <c r="I18" i="2"/>
  <c r="E18" i="2"/>
  <c r="I17" i="2"/>
  <c r="E17" i="2"/>
  <c r="I16" i="2"/>
  <c r="E16" i="2"/>
  <c r="G18" i="2"/>
  <c r="G16" i="2"/>
  <c r="H18" i="2"/>
  <c r="D18" i="2"/>
  <c r="H17" i="2"/>
  <c r="D17" i="2"/>
  <c r="H16" i="2"/>
  <c r="H9" i="1" l="1"/>
  <c r="G9" i="1"/>
  <c r="H7" i="1"/>
  <c r="G7" i="1"/>
  <c r="H13" i="1"/>
  <c r="G13" i="1"/>
  <c r="H11" i="1"/>
  <c r="G11" i="1"/>
  <c r="H10" i="1"/>
  <c r="G10" i="1"/>
  <c r="H12" i="1"/>
  <c r="G12" i="1"/>
  <c r="H6" i="1"/>
  <c r="G6" i="1"/>
  <c r="E19" i="1" s="1" a="1"/>
  <c r="D30" i="2" a="1"/>
  <c r="D21" i="2" a="1"/>
  <c r="E19" i="1" l="1"/>
  <c r="K21" i="1"/>
  <c r="K19" i="1"/>
  <c r="L21" i="1"/>
  <c r="L19" i="1"/>
  <c r="J21" i="1"/>
  <c r="J19" i="1"/>
  <c r="I21" i="1"/>
  <c r="I19" i="1"/>
  <c r="G20" i="1"/>
  <c r="H22" i="1"/>
  <c r="F22" i="1"/>
  <c r="E22" i="1"/>
  <c r="G21" i="1"/>
  <c r="G19" i="1"/>
  <c r="H21" i="1"/>
  <c r="H19" i="1"/>
  <c r="F21" i="1"/>
  <c r="F19" i="1"/>
  <c r="E21" i="1"/>
  <c r="K22" i="1"/>
  <c r="K20" i="1"/>
  <c r="L22" i="1"/>
  <c r="L20" i="1"/>
  <c r="J22" i="1"/>
  <c r="J20" i="1"/>
  <c r="I22" i="1"/>
  <c r="I20" i="1"/>
  <c r="G22" i="1"/>
  <c r="H20" i="1"/>
  <c r="F20" i="1"/>
  <c r="E20" i="1"/>
  <c r="D21" i="2"/>
  <c r="D22" i="2"/>
  <c r="E23" i="2"/>
  <c r="F22" i="2"/>
  <c r="E21" i="2"/>
  <c r="D23" i="2"/>
  <c r="F21" i="2"/>
  <c r="E22" i="2"/>
  <c r="F23" i="2"/>
  <c r="D30" i="2"/>
  <c r="D32" i="2"/>
  <c r="D31" i="2"/>
  <c r="E37" i="1" l="1" a="1"/>
  <c r="E25" i="1" a="1"/>
  <c r="D26" i="2" a="1"/>
  <c r="E25" i="1" l="1"/>
  <c r="H27" i="1"/>
  <c r="G28" i="1"/>
  <c r="H28" i="1"/>
  <c r="G25" i="1"/>
  <c r="H26" i="1"/>
  <c r="E26" i="1"/>
  <c r="E27" i="1"/>
  <c r="G26" i="1"/>
  <c r="F27" i="1"/>
  <c r="F26" i="1"/>
  <c r="F25" i="1"/>
  <c r="G27" i="1"/>
  <c r="H25" i="1"/>
  <c r="E28" i="1"/>
  <c r="F28" i="1"/>
  <c r="E39" i="1"/>
  <c r="E37" i="1"/>
  <c r="E40" i="1"/>
  <c r="E38" i="1"/>
  <c r="D26" i="2"/>
  <c r="D27" i="2"/>
  <c r="E28" i="2"/>
  <c r="D28" i="2"/>
  <c r="F28" i="2"/>
  <c r="F26" i="2"/>
  <c r="E27" i="2"/>
  <c r="F27" i="2"/>
  <c r="E26" i="2"/>
  <c r="O5" i="2" l="1" a="1"/>
  <c r="S5" i="2" a="1"/>
  <c r="L5" i="2" a="1"/>
  <c r="M5" i="2" a="1"/>
  <c r="Q5" i="2" a="1"/>
  <c r="N5" i="2" a="1"/>
  <c r="R5" i="2" a="1"/>
  <c r="P5" i="2" a="1"/>
  <c r="K5" i="2" a="1"/>
  <c r="E31" i="1" a="1"/>
  <c r="D34" i="2" a="1"/>
  <c r="F31" i="1" l="1"/>
  <c r="H31" i="1"/>
  <c r="E34" i="1"/>
  <c r="F32" i="1"/>
  <c r="E32" i="1"/>
  <c r="H34" i="1"/>
  <c r="G31" i="1"/>
  <c r="G34" i="1"/>
  <c r="E31" i="1"/>
  <c r="H33" i="1"/>
  <c r="G33" i="1"/>
  <c r="E33" i="1"/>
  <c r="H32" i="1"/>
  <c r="F33" i="1"/>
  <c r="G32" i="1"/>
  <c r="F34" i="1"/>
  <c r="N6" i="2"/>
  <c r="N5" i="2"/>
  <c r="N7" i="2"/>
  <c r="K5" i="2"/>
  <c r="K6" i="2"/>
  <c r="K7" i="2"/>
  <c r="Q6" i="2"/>
  <c r="Q5" i="2"/>
  <c r="Q8" i="2" s="1"/>
  <c r="Q7" i="2"/>
  <c r="O6" i="2"/>
  <c r="O7" i="2"/>
  <c r="O5" i="2"/>
  <c r="O8" i="2" s="1"/>
  <c r="P6" i="2"/>
  <c r="P7" i="2"/>
  <c r="P5" i="2"/>
  <c r="P8" i="2" s="1"/>
  <c r="M6" i="2"/>
  <c r="M5" i="2"/>
  <c r="M7" i="2"/>
  <c r="R6" i="2"/>
  <c r="R5" i="2"/>
  <c r="R8" i="2" s="1"/>
  <c r="R7" i="2"/>
  <c r="L6" i="2"/>
  <c r="L5" i="2"/>
  <c r="L7" i="2"/>
  <c r="S6" i="2"/>
  <c r="S5" i="2"/>
  <c r="S7" i="2"/>
  <c r="D34" i="2"/>
  <c r="H13" i="2" s="1"/>
  <c r="D36" i="2"/>
  <c r="D35" i="2"/>
  <c r="N8" i="2" l="1"/>
  <c r="L8" i="2"/>
  <c r="S8" i="2"/>
  <c r="M8" i="2"/>
  <c r="K8" i="2"/>
  <c r="E64" i="1" a="1"/>
  <c r="E43" i="1" a="1"/>
  <c r="H6" i="2"/>
  <c r="H10" i="2"/>
  <c r="H11" i="2"/>
  <c r="H7" i="2"/>
  <c r="H8" i="2"/>
  <c r="H12" i="2"/>
  <c r="H9" i="2"/>
  <c r="H5" i="2"/>
  <c r="D41" i="2" l="1"/>
  <c r="D45" i="2" s="1"/>
  <c r="E45" i="1"/>
  <c r="E43" i="1"/>
  <c r="E44" i="1"/>
  <c r="E46" i="1"/>
  <c r="E66" i="1"/>
  <c r="E64" i="1"/>
  <c r="E67" i="1"/>
  <c r="E65" i="1"/>
  <c r="D42" i="2"/>
  <c r="D46" i="2" s="1"/>
  <c r="O9" i="2" l="1"/>
  <c r="O10" i="2" s="1"/>
  <c r="O11" i="2" s="1"/>
  <c r="Q9" i="2"/>
  <c r="Q10" i="2" s="1"/>
  <c r="Q11" i="2" s="1"/>
  <c r="R9" i="2"/>
  <c r="R10" i="2" s="1"/>
  <c r="R11" i="2" s="1"/>
  <c r="P9" i="2"/>
  <c r="P10" i="2" s="1"/>
  <c r="P11" i="2" s="1"/>
  <c r="N9" i="2"/>
  <c r="N10" i="2" s="1"/>
  <c r="N11" i="2" s="1"/>
  <c r="K9" i="2"/>
  <c r="K10" i="2" s="1"/>
  <c r="K11" i="2" s="1"/>
  <c r="M9" i="2"/>
  <c r="M10" i="2" s="1"/>
  <c r="M11" i="2" s="1"/>
  <c r="L9" i="2"/>
  <c r="L10" i="2" s="1"/>
  <c r="L11" i="2" s="1"/>
  <c r="S9" i="2"/>
  <c r="S10" i="2" s="1"/>
  <c r="S11" i="2" s="1"/>
  <c r="I11" i="1"/>
  <c r="I9" i="1"/>
  <c r="I13" i="1"/>
  <c r="I6" i="1"/>
  <c r="I8" i="1"/>
  <c r="I10" i="1"/>
  <c r="I7" i="1"/>
  <c r="I12" i="1"/>
  <c r="D47" i="2"/>
  <c r="E54" i="2"/>
  <c r="F54" i="2" s="1"/>
  <c r="G54" i="2" s="1"/>
  <c r="E56" i="2"/>
  <c r="F56" i="2" s="1"/>
  <c r="G56" i="2" s="1"/>
  <c r="E55" i="2"/>
  <c r="F55" i="2" s="1"/>
  <c r="G55" i="2" s="1"/>
  <c r="P13" i="2" l="1"/>
  <c r="P12" i="2"/>
  <c r="M13" i="2"/>
  <c r="M12" i="2"/>
  <c r="R13" i="2"/>
  <c r="R12" i="2"/>
  <c r="K13" i="2"/>
  <c r="K12" i="2"/>
  <c r="Q12" i="2"/>
  <c r="Q13" i="2"/>
  <c r="L12" i="2"/>
  <c r="L13" i="2"/>
  <c r="D50" i="1"/>
  <c r="S13" i="2"/>
  <c r="S12" i="2"/>
  <c r="N13" i="2"/>
  <c r="N12" i="2"/>
  <c r="O12" i="2"/>
  <c r="O13" i="2"/>
  <c r="D51" i="1" l="1"/>
  <c r="D55" i="1" s="1"/>
  <c r="D54" i="1"/>
  <c r="G67" i="1" l="1"/>
  <c r="H67" i="1" s="1"/>
  <c r="I67" i="1" s="1"/>
  <c r="G65" i="1"/>
  <c r="H65" i="1" s="1"/>
  <c r="I65" i="1" s="1"/>
  <c r="G66" i="1"/>
  <c r="H66" i="1" s="1"/>
  <c r="I66" i="1" s="1"/>
  <c r="G64" i="1"/>
  <c r="H64" i="1" s="1"/>
  <c r="I64" i="1" s="1"/>
  <c r="D56" i="1"/>
</calcChain>
</file>

<file path=xl/sharedStrings.xml><?xml version="1.0" encoding="utf-8"?>
<sst xmlns="http://schemas.openxmlformats.org/spreadsheetml/2006/main" count="55" uniqueCount="38">
  <si>
    <t>X</t>
  </si>
  <si>
    <t>x0</t>
  </si>
  <si>
    <t>x1</t>
  </si>
  <si>
    <t>x2</t>
  </si>
  <si>
    <t>x3</t>
  </si>
  <si>
    <t>Мин=</t>
  </si>
  <si>
    <t>Макс=</t>
  </si>
  <si>
    <t>Центр=</t>
  </si>
  <si>
    <t>Xt=</t>
  </si>
  <si>
    <t>XtX=</t>
  </si>
  <si>
    <t>XtXobr=</t>
  </si>
  <si>
    <t>XtY=</t>
  </si>
  <si>
    <t>A=</t>
  </si>
  <si>
    <t>Степень полинома</t>
  </si>
  <si>
    <t>Остаточная сумма квадратов</t>
  </si>
  <si>
    <t>Сумма квадратов, приходящаяся на уравнение</t>
  </si>
  <si>
    <t>Число степеней свободы ошибки</t>
  </si>
  <si>
    <t>Число степеней свободы уравнения</t>
  </si>
  <si>
    <t>Дисперсия ошибки</t>
  </si>
  <si>
    <t>Дисперсия уравнения</t>
  </si>
  <si>
    <t>Критерий Фишера</t>
  </si>
  <si>
    <t>Критическое значение Фишера</t>
  </si>
  <si>
    <t>Значение 
коэффициентов</t>
  </si>
  <si>
    <t xml:space="preserve">Значение 
диагональных 
элементов матрицы </t>
  </si>
  <si>
    <t>Дисперсии
 коэффициентов</t>
  </si>
  <si>
    <t>Стандартное 
отклонение
 коэффициентов</t>
  </si>
  <si>
    <t>Доверительные
 интервалы
 коэффициентов</t>
  </si>
  <si>
    <t>x</t>
  </si>
  <si>
    <t>X^2</t>
  </si>
  <si>
    <t>Xt</t>
  </si>
  <si>
    <t>XtXobr</t>
  </si>
  <si>
    <t>Yrasch</t>
  </si>
  <si>
    <t>Yreal</t>
  </si>
  <si>
    <t>da</t>
  </si>
  <si>
    <t>Годы</t>
  </si>
  <si>
    <t>dy=</t>
  </si>
  <si>
    <t>Ymax=</t>
  </si>
  <si>
    <t>Ymin=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</si>
</sst>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Calibri"/>
      <family val="2"/>
      <charset val="204"/>
      <scheme val="minor"/>
    </font>
    <font>
      <sz val="10"/>
      <color theme="1"/>
      <name val="Times New Roman"/>
      <family val="1"/>
      <charset val="204"/>
    </font>
    <font>
      <sz val="12"/>
      <color rgb="FF000000"/>
      <name val="Times New Roman"/>
      <family val="1"/>
      <charset val="204"/>
    </font>
    <font>
      <sz val="14"/>
      <color theme="1"/>
      <name val="Times New Roman"/>
      <family val="1"/>
      <charset val="204"/>
    </font>
    <font>
      <sz val="10"/>
      <color rgb="FF000000"/>
      <name val="Times New Roman"/>
      <family val="1"/>
      <charset val="204"/>
    </font>
    <font>
      <sz val="11"/>
      <color rgb="FF000000"/>
      <name val="Calibri"/>
      <family val="2"/>
      <charset val="204"/>
    </font>
    <font>
      <sz val="10"/>
      <color theme="1"/>
      <name val="Arial"/>
      <family val="2"/>
      <charset val="204"/>
    </font>
  </fonts>
  <fills count="3">
    <fill>
      <patternFill patternType="none"/>
    </fill>
    <fill>
      <patternFill patternType="gray125"/>
    </fill>
    <fill>
      <patternFill patternType="solid">
        <fgColor rgb="FF92D050"/>
        <bgColor indexed="64"/>
      </patternFill>
    </fill>
  </fills>
  <borders count="6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22">
    <xf numFmtId="0" fontId="0" fillId="0" borderId="0" xfId="0"/>
    <xf numFmtId="0" fontId="3" fillId="0" borderId="0" xfId="0" applyFont="1"/>
    <xf numFmtId="0" fontId="4" fillId="0" borderId="1" xfId="0" applyFont="1" applyBorder="1" applyAlignment="1">
      <alignment vertical="center"/>
    </xf>
    <xf numFmtId="0" fontId="4" fillId="0" borderId="2" xfId="0" applyFont="1" applyBorder="1" applyAlignment="1">
      <alignment vertical="center"/>
    </xf>
    <xf numFmtId="0" fontId="4" fillId="0" borderId="0" xfId="0" applyFont="1" applyAlignment="1">
      <alignment horizontal="center" vertical="center" wrapText="1"/>
    </xf>
    <xf numFmtId="0" fontId="4" fillId="0" borderId="0" xfId="0" applyFont="1" applyAlignment="1">
      <alignment horizontal="center" vertical="center"/>
    </xf>
    <xf numFmtId="0" fontId="5" fillId="0" borderId="3" xfId="0" applyFont="1" applyBorder="1" applyAlignment="1">
      <alignment horizontal="right" vertical="center"/>
    </xf>
    <xf numFmtId="0" fontId="3" fillId="0" borderId="0" xfId="0" applyFont="1" applyAlignment="1">
      <alignment horizontal="center" vertical="center"/>
    </xf>
    <xf numFmtId="0" fontId="6" fillId="0" borderId="0" xfId="0" applyFont="1" applyAlignment="1">
      <alignment horizontal="right" vertical="center"/>
    </xf>
    <xf numFmtId="0" fontId="6" fillId="0" borderId="4" xfId="0" applyFont="1" applyBorder="1" applyAlignment="1">
      <alignment horizontal="center" vertical="center"/>
    </xf>
    <xf numFmtId="0" fontId="6" fillId="0" borderId="4" xfId="0" applyFont="1" applyBorder="1" applyAlignment="1">
      <alignment horizontal="right" vertical="center"/>
    </xf>
    <xf numFmtId="0" fontId="1" fillId="0" borderId="4" xfId="0" applyFont="1" applyBorder="1" applyAlignment="1">
      <alignment horizontal="center" vertical="center"/>
    </xf>
    <xf numFmtId="0" fontId="2" fillId="0" borderId="4" xfId="0" applyFont="1" applyBorder="1" applyAlignment="1">
      <alignment horizontal="right" vertical="center" wrapText="1"/>
    </xf>
    <xf numFmtId="0" fontId="1" fillId="0" borderId="4" xfId="0" applyFont="1" applyBorder="1" applyAlignment="1">
      <alignment horizontal="center" vertical="center" wrapText="1"/>
    </xf>
    <xf numFmtId="0" fontId="0" fillId="0" borderId="4" xfId="0" applyBorder="1"/>
    <xf numFmtId="0" fontId="3" fillId="0" borderId="4" xfId="0" applyFont="1" applyBorder="1"/>
    <xf numFmtId="0" fontId="0" fillId="0" borderId="5" xfId="0" applyBorder="1"/>
    <xf numFmtId="0" fontId="4" fillId="0" borderId="4" xfId="0" applyFont="1" applyBorder="1" applyAlignment="1">
      <alignment vertical="center"/>
    </xf>
    <xf numFmtId="0" fontId="5" fillId="0" borderId="4" xfId="0" applyFont="1" applyBorder="1" applyAlignment="1">
      <alignment horizontal="center" vertical="center"/>
    </xf>
    <xf numFmtId="0" fontId="5" fillId="0" borderId="4" xfId="0" applyFont="1" applyBorder="1" applyAlignment="1">
      <alignment horizontal="center" vertical="center" wrapText="1"/>
    </xf>
    <xf numFmtId="0" fontId="0" fillId="2" borderId="0" xfId="0" applyFill="1"/>
    <xf numFmtId="0" fontId="3" fillId="2" borderId="0" xfId="0" applyFont="1" applyFill="1"/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ru-R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scatterChart>
        <c:scatterStyle val="lineMarker"/>
        <c:varyColors val="0"/>
        <c:ser>
          <c:idx val="0"/>
          <c:order val="0"/>
          <c:tx>
            <c:strRef>
              <c:f>Лист2!$C$4</c:f>
              <c:strCache>
                <c:ptCount val="1"/>
                <c:pt idx="0">
                  <c:v>Yreal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xVal>
            <c:numRef>
              <c:f>Лист2!$D$5:$D$13</c:f>
              <c:numCache>
                <c:formatCode>General</c:formatCode>
                <c:ptCount val="9"/>
                <c:pt idx="0">
                  <c:v>1995</c:v>
                </c:pt>
                <c:pt idx="1">
                  <c:v>1997</c:v>
                </c:pt>
                <c:pt idx="2">
                  <c:v>1998</c:v>
                </c:pt>
                <c:pt idx="3">
                  <c:v>1999</c:v>
                </c:pt>
                <c:pt idx="4">
                  <c:v>2000</c:v>
                </c:pt>
                <c:pt idx="5">
                  <c:v>2001</c:v>
                </c:pt>
                <c:pt idx="6">
                  <c:v>2002</c:v>
                </c:pt>
                <c:pt idx="7">
                  <c:v>2003</c:v>
                </c:pt>
                <c:pt idx="8">
                  <c:v>2004</c:v>
                </c:pt>
              </c:numCache>
            </c:numRef>
          </c:xVal>
          <c:yVal>
            <c:numRef>
              <c:f>Лист2!$C$5:$C$13</c:f>
              <c:numCache>
                <c:formatCode>General</c:formatCode>
                <c:ptCount val="9"/>
                <c:pt idx="0">
                  <c:v>41</c:v>
                </c:pt>
                <c:pt idx="1">
                  <c:v>47.2</c:v>
                </c:pt>
                <c:pt idx="2">
                  <c:v>49.1</c:v>
                </c:pt>
                <c:pt idx="3">
                  <c:v>51.8</c:v>
                </c:pt>
                <c:pt idx="4">
                  <c:v>56.2</c:v>
                </c:pt>
                <c:pt idx="5">
                  <c:v>59.7</c:v>
                </c:pt>
                <c:pt idx="6">
                  <c:v>63.3</c:v>
                </c:pt>
                <c:pt idx="7">
                  <c:v>67.8</c:v>
                </c:pt>
                <c:pt idx="8">
                  <c:v>72.7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B648-465D-8CBA-6BC1248046A6}"/>
            </c:ext>
          </c:extLst>
        </c:ser>
        <c:ser>
          <c:idx val="1"/>
          <c:order val="1"/>
          <c:tx>
            <c:strRef>
              <c:f>Лист2!$J$14</c:f>
              <c:strCache>
                <c:ptCount val="1"/>
                <c:pt idx="0">
                  <c:v>Yrasch</c:v>
                </c:pt>
              </c:strCache>
            </c:strRef>
          </c:tx>
          <c:spPr>
            <a:ln w="19050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xVal>
            <c:numRef>
              <c:f>Лист2!$D$5:$D$13</c:f>
              <c:numCache>
                <c:formatCode>General</c:formatCode>
                <c:ptCount val="9"/>
                <c:pt idx="0">
                  <c:v>1995</c:v>
                </c:pt>
                <c:pt idx="1">
                  <c:v>1997</c:v>
                </c:pt>
                <c:pt idx="2">
                  <c:v>1998</c:v>
                </c:pt>
                <c:pt idx="3">
                  <c:v>1999</c:v>
                </c:pt>
                <c:pt idx="4">
                  <c:v>2000</c:v>
                </c:pt>
                <c:pt idx="5">
                  <c:v>2001</c:v>
                </c:pt>
                <c:pt idx="6">
                  <c:v>2002</c:v>
                </c:pt>
                <c:pt idx="7">
                  <c:v>2003</c:v>
                </c:pt>
                <c:pt idx="8">
                  <c:v>2004</c:v>
                </c:pt>
              </c:numCache>
            </c:numRef>
          </c:xVal>
          <c:yVal>
            <c:numRef>
              <c:f>Лист2!$K$14:$S$14</c:f>
              <c:numCache>
                <c:formatCode>General</c:formatCode>
                <c:ptCount val="9"/>
                <c:pt idx="0">
                  <c:v>41.253921568627426</c:v>
                </c:pt>
                <c:pt idx="1">
                  <c:v>46.376960784313709</c:v>
                </c:pt>
                <c:pt idx="2">
                  <c:v>49.308753501400545</c:v>
                </c:pt>
                <c:pt idx="3">
                  <c:v>52.487394957983184</c:v>
                </c:pt>
                <c:pt idx="4">
                  <c:v>55.912885154061613</c:v>
                </c:pt>
                <c:pt idx="5">
                  <c:v>59.585224089635844</c:v>
                </c:pt>
                <c:pt idx="6">
                  <c:v>63.504411764705864</c:v>
                </c:pt>
                <c:pt idx="7">
                  <c:v>67.670448179271688</c:v>
                </c:pt>
                <c:pt idx="8">
                  <c:v>72.0833333333333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2-B648-465D-8CBA-6BC1248046A6}"/>
            </c:ext>
          </c:extLst>
        </c:ser>
        <c:ser>
          <c:idx val="2"/>
          <c:order val="2"/>
          <c:tx>
            <c:strRef>
              <c:f>Лист2!$J$12</c:f>
              <c:strCache>
                <c:ptCount val="1"/>
                <c:pt idx="0">
                  <c:v>Ymin=</c:v>
                </c:pt>
              </c:strCache>
            </c:strRef>
          </c:tx>
          <c:spPr>
            <a:ln w="19050" cap="rnd">
              <a:solidFill>
                <a:schemeClr val="bg1">
                  <a:lumMod val="50000"/>
                </a:schemeClr>
              </a:solidFill>
              <a:prstDash val="dash"/>
              <a:round/>
            </a:ln>
            <a:effectLst/>
          </c:spPr>
          <c:marker>
            <c:symbol val="none"/>
          </c:marker>
          <c:xVal>
            <c:numRef>
              <c:f>Лист2!$D$5:$D$13</c:f>
              <c:numCache>
                <c:formatCode>General</c:formatCode>
                <c:ptCount val="9"/>
                <c:pt idx="0">
                  <c:v>1995</c:v>
                </c:pt>
                <c:pt idx="1">
                  <c:v>1997</c:v>
                </c:pt>
                <c:pt idx="2">
                  <c:v>1998</c:v>
                </c:pt>
                <c:pt idx="3">
                  <c:v>1999</c:v>
                </c:pt>
                <c:pt idx="4">
                  <c:v>2000</c:v>
                </c:pt>
                <c:pt idx="5">
                  <c:v>2001</c:v>
                </c:pt>
                <c:pt idx="6">
                  <c:v>2002</c:v>
                </c:pt>
                <c:pt idx="7">
                  <c:v>2003</c:v>
                </c:pt>
                <c:pt idx="8">
                  <c:v>2004</c:v>
                </c:pt>
              </c:numCache>
            </c:numRef>
          </c:xVal>
          <c:yVal>
            <c:numRef>
              <c:f>Лист2!$K$12:$S$12</c:f>
              <c:numCache>
                <c:formatCode>General</c:formatCode>
                <c:ptCount val="9"/>
                <c:pt idx="0">
                  <c:v>39.948918196441113</c:v>
                </c:pt>
                <c:pt idx="1">
                  <c:v>45.672505381512032</c:v>
                </c:pt>
                <c:pt idx="2">
                  <c:v>48.604298098598868</c:v>
                </c:pt>
                <c:pt idx="3">
                  <c:v>51.770298215039986</c:v>
                </c:pt>
                <c:pt idx="4">
                  <c:v>55.23543815724274</c:v>
                </c:pt>
                <c:pt idx="5">
                  <c:v>58.955359449333677</c:v>
                </c:pt>
                <c:pt idx="6">
                  <c:v>62.761747156839498</c:v>
                </c:pt>
                <c:pt idx="7">
                  <c:v>66.528116351962453</c:v>
                </c:pt>
                <c:pt idx="8">
                  <c:v>70.295610468088199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3-B648-465D-8CBA-6BC1248046A6}"/>
            </c:ext>
          </c:extLst>
        </c:ser>
        <c:ser>
          <c:idx val="3"/>
          <c:order val="3"/>
          <c:tx>
            <c:strRef>
              <c:f>Лист2!$J$13</c:f>
              <c:strCache>
                <c:ptCount val="1"/>
                <c:pt idx="0">
                  <c:v>Ymax=</c:v>
                </c:pt>
              </c:strCache>
            </c:strRef>
          </c:tx>
          <c:spPr>
            <a:ln w="19050" cap="rnd">
              <a:solidFill>
                <a:schemeClr val="bg1">
                  <a:lumMod val="50000"/>
                </a:schemeClr>
              </a:solidFill>
              <a:prstDash val="dash"/>
              <a:round/>
            </a:ln>
            <a:effectLst/>
          </c:spPr>
          <c:marker>
            <c:symbol val="circle"/>
            <c:size val="5"/>
            <c:spPr>
              <a:solidFill>
                <a:schemeClr val="accent4"/>
              </a:solidFill>
              <a:ln w="9525">
                <a:solidFill>
                  <a:schemeClr val="accent4"/>
                </a:solidFill>
              </a:ln>
              <a:effectLst/>
            </c:spPr>
          </c:marker>
          <c:xVal>
            <c:numRef>
              <c:f>Лист2!$D$5:$D$13</c:f>
              <c:numCache>
                <c:formatCode>General</c:formatCode>
                <c:ptCount val="9"/>
                <c:pt idx="0">
                  <c:v>1995</c:v>
                </c:pt>
                <c:pt idx="1">
                  <c:v>1997</c:v>
                </c:pt>
                <c:pt idx="2">
                  <c:v>1998</c:v>
                </c:pt>
                <c:pt idx="3">
                  <c:v>1999</c:v>
                </c:pt>
                <c:pt idx="4">
                  <c:v>2000</c:v>
                </c:pt>
                <c:pt idx="5">
                  <c:v>2001</c:v>
                </c:pt>
                <c:pt idx="6">
                  <c:v>2002</c:v>
                </c:pt>
                <c:pt idx="7">
                  <c:v>2003</c:v>
                </c:pt>
                <c:pt idx="8">
                  <c:v>2004</c:v>
                </c:pt>
              </c:numCache>
            </c:numRef>
          </c:xVal>
          <c:yVal>
            <c:numRef>
              <c:f>Лист2!$K$13:$S$13</c:f>
              <c:numCache>
                <c:formatCode>General</c:formatCode>
                <c:ptCount val="9"/>
                <c:pt idx="0">
                  <c:v>42.558924940813739</c:v>
                </c:pt>
                <c:pt idx="1">
                  <c:v>47.081416187115387</c:v>
                </c:pt>
                <c:pt idx="2">
                  <c:v>50.013208904202223</c:v>
                </c:pt>
                <c:pt idx="3">
                  <c:v>53.204491700926383</c:v>
                </c:pt>
                <c:pt idx="4">
                  <c:v>56.590332150880485</c:v>
                </c:pt>
                <c:pt idx="5">
                  <c:v>60.21508872993801</c:v>
                </c:pt>
                <c:pt idx="6">
                  <c:v>64.247076372572238</c:v>
                </c:pt>
                <c:pt idx="7">
                  <c:v>68.812780006580923</c:v>
                </c:pt>
                <c:pt idx="8">
                  <c:v>73.871056198578401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4-B648-465D-8CBA-6BC1248046A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46849152"/>
        <c:axId val="146887808"/>
      </c:scatterChart>
      <c:valAx>
        <c:axId val="146849152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ru-RU"/>
          </a:p>
        </c:txPr>
        <c:crossAx val="146887808"/>
        <c:crosses val="autoZero"/>
        <c:crossBetween val="midCat"/>
      </c:valAx>
      <c:valAx>
        <c:axId val="14688780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ru-RU"/>
          </a:p>
        </c:txPr>
        <c:crossAx val="146849152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ru-RU"/>
    </a:p>
  </c:txPr>
  <c:printSettings>
    <c:headerFooter/>
    <c:pageMargins b="0.75000000000000011" l="0.70000000000000007" r="0.70000000000000007" t="0.75000000000000011" header="0.30000000000000004" footer="0.30000000000000004"/>
    <c:pageSetup/>
  </c:printSettings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154305</xdr:colOff>
      <xdr:row>23</xdr:row>
      <xdr:rowOff>11430</xdr:rowOff>
    </xdr:from>
    <xdr:to>
      <xdr:col>19</xdr:col>
      <xdr:colOff>30480</xdr:colOff>
      <xdr:row>44</xdr:row>
      <xdr:rowOff>203835</xdr:rowOff>
    </xdr:to>
    <xdr:graphicFrame macro="">
      <xdr:nvGraphicFramePr>
        <xdr:cNvPr id="4" name="Диаграмма 3">
          <a:extLst>
            <a:ext uri="{FF2B5EF4-FFF2-40B4-BE49-F238E27FC236}">
              <a16:creationId xmlns:a16="http://schemas.microsoft.com/office/drawing/2014/main" id="{486F8D98-A500-1971-1D5F-BCDEF5DB6937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5:L67"/>
  <sheetViews>
    <sheetView topLeftCell="A47" workbookViewId="0">
      <selection activeCell="I61" sqref="I61"/>
    </sheetView>
  </sheetViews>
  <sheetFormatPr defaultRowHeight="14.4" x14ac:dyDescent="0.3"/>
  <cols>
    <col min="2" max="2" width="38.109375" bestFit="1" customWidth="1"/>
    <col min="5" max="5" width="13.33203125" bestFit="1" customWidth="1"/>
    <col min="6" max="6" width="12.6640625" bestFit="1" customWidth="1"/>
    <col min="7" max="7" width="14" customWidth="1"/>
    <col min="8" max="8" width="14.88671875" customWidth="1"/>
    <col min="9" max="9" width="14.5546875" bestFit="1" customWidth="1"/>
  </cols>
  <sheetData>
    <row r="5" spans="3:9" x14ac:dyDescent="0.3">
      <c r="C5" s="11" t="s">
        <v>32</v>
      </c>
      <c r="D5" s="11" t="s">
        <v>0</v>
      </c>
      <c r="E5" s="11" t="s">
        <v>1</v>
      </c>
      <c r="F5" s="11" t="s">
        <v>2</v>
      </c>
      <c r="G5" s="11" t="s">
        <v>3</v>
      </c>
      <c r="H5" s="11" t="s">
        <v>4</v>
      </c>
      <c r="I5" s="11" t="s">
        <v>31</v>
      </c>
    </row>
    <row r="6" spans="3:9" ht="18" x14ac:dyDescent="0.35">
      <c r="C6" s="12">
        <v>41</v>
      </c>
      <c r="D6" s="13">
        <v>1995</v>
      </c>
      <c r="E6" s="14">
        <v>1</v>
      </c>
      <c r="F6" s="15">
        <f>(D6-$D$16)/($D$15-$D$14)*2</f>
        <v>-1</v>
      </c>
      <c r="G6" s="15">
        <f>F6^2</f>
        <v>1</v>
      </c>
      <c r="H6" s="15">
        <f>F6^3</f>
        <v>-1</v>
      </c>
      <c r="I6" s="15">
        <f t="shared" ref="I6:I13" si="0">MMULT(E6:H6,A)</f>
        <v>41.125039872408244</v>
      </c>
    </row>
    <row r="7" spans="3:9" ht="18" x14ac:dyDescent="0.35">
      <c r="C7" s="12">
        <v>47.2</v>
      </c>
      <c r="D7" s="13">
        <v>1997</v>
      </c>
      <c r="E7" s="14">
        <v>1</v>
      </c>
      <c r="F7" s="15">
        <f t="shared" ref="F7:F13" si="1">(D7-$D$16)/($D$15-$D$14)*2</f>
        <v>-0.5</v>
      </c>
      <c r="G7" s="15">
        <f t="shared" ref="G7:G13" si="2">F7^2</f>
        <v>0.25</v>
      </c>
      <c r="H7" s="15">
        <f t="shared" ref="H7:H13" si="3">F7^3</f>
        <v>-0.125</v>
      </c>
      <c r="I7" s="15">
        <f t="shared" si="0"/>
        <v>46.562918660287075</v>
      </c>
    </row>
    <row r="8" spans="3:9" ht="18" x14ac:dyDescent="0.35">
      <c r="C8" s="12">
        <v>49.1</v>
      </c>
      <c r="D8" s="13">
        <v>1998</v>
      </c>
      <c r="E8" s="14">
        <v>1</v>
      </c>
      <c r="F8" s="15">
        <f t="shared" si="1"/>
        <v>-0.25</v>
      </c>
      <c r="G8" s="15">
        <f t="shared" si="2"/>
        <v>6.25E-2</v>
      </c>
      <c r="H8" s="15">
        <f t="shared" si="3"/>
        <v>-1.5625E-2</v>
      </c>
      <c r="I8" s="15">
        <f t="shared" si="0"/>
        <v>49.435794030530872</v>
      </c>
    </row>
    <row r="9" spans="3:9" ht="18" x14ac:dyDescent="0.35">
      <c r="C9" s="12">
        <v>51.8</v>
      </c>
      <c r="D9" s="13">
        <v>1999</v>
      </c>
      <c r="E9" s="14">
        <v>1</v>
      </c>
      <c r="F9" s="15">
        <f t="shared" si="1"/>
        <v>0</v>
      </c>
      <c r="G9" s="15">
        <f t="shared" si="2"/>
        <v>0</v>
      </c>
      <c r="H9" s="15">
        <f t="shared" si="3"/>
        <v>0</v>
      </c>
      <c r="I9" s="15">
        <f t="shared" si="0"/>
        <v>52.494759626338585</v>
      </c>
    </row>
    <row r="10" spans="3:9" ht="18" x14ac:dyDescent="0.35">
      <c r="C10" s="12">
        <v>56.2</v>
      </c>
      <c r="D10" s="13">
        <v>2000</v>
      </c>
      <c r="E10" s="14">
        <v>1</v>
      </c>
      <c r="F10" s="15">
        <f t="shared" si="1"/>
        <v>0.25</v>
      </c>
      <c r="G10" s="15">
        <f t="shared" si="2"/>
        <v>6.25E-2</v>
      </c>
      <c r="H10" s="15">
        <f t="shared" si="3"/>
        <v>1.5625E-2</v>
      </c>
      <c r="I10" s="15">
        <f t="shared" si="0"/>
        <v>55.802415128730942</v>
      </c>
    </row>
    <row r="11" spans="3:9" ht="18" x14ac:dyDescent="0.35">
      <c r="C11" s="12">
        <v>59.7</v>
      </c>
      <c r="D11" s="13">
        <v>2001</v>
      </c>
      <c r="E11" s="14">
        <v>1</v>
      </c>
      <c r="F11" s="15">
        <f t="shared" si="1"/>
        <v>0.5</v>
      </c>
      <c r="G11" s="15">
        <f t="shared" si="2"/>
        <v>0.25</v>
      </c>
      <c r="H11" s="15">
        <f t="shared" si="3"/>
        <v>0.125</v>
      </c>
      <c r="I11" s="15">
        <f t="shared" si="0"/>
        <v>59.421360218728672</v>
      </c>
    </row>
    <row r="12" spans="3:9" ht="18" x14ac:dyDescent="0.35">
      <c r="C12" s="12">
        <v>63.3</v>
      </c>
      <c r="D12" s="13">
        <v>2002</v>
      </c>
      <c r="E12" s="14">
        <v>1</v>
      </c>
      <c r="F12" s="15">
        <f t="shared" si="1"/>
        <v>0.75</v>
      </c>
      <c r="G12" s="15">
        <f t="shared" si="2"/>
        <v>0.5625</v>
      </c>
      <c r="H12" s="15">
        <f t="shared" si="3"/>
        <v>0.421875</v>
      </c>
      <c r="I12" s="15">
        <f t="shared" si="0"/>
        <v>63.414194577352518</v>
      </c>
    </row>
    <row r="13" spans="3:9" ht="18" x14ac:dyDescent="0.35">
      <c r="C13" s="12">
        <v>67.8</v>
      </c>
      <c r="D13" s="13">
        <v>2003</v>
      </c>
      <c r="E13" s="16">
        <v>1</v>
      </c>
      <c r="F13" s="15">
        <f t="shared" si="1"/>
        <v>1</v>
      </c>
      <c r="G13" s="15">
        <f t="shared" si="2"/>
        <v>1</v>
      </c>
      <c r="H13" s="15">
        <f t="shared" si="3"/>
        <v>1</v>
      </c>
      <c r="I13" s="15">
        <f t="shared" si="0"/>
        <v>67.8435178856232</v>
      </c>
    </row>
    <row r="14" spans="3:9" ht="18" x14ac:dyDescent="0.35">
      <c r="C14" s="17" t="s">
        <v>5</v>
      </c>
      <c r="D14" s="15">
        <f>MIN(D6:D13)</f>
        <v>1995</v>
      </c>
      <c r="G14" s="1"/>
    </row>
    <row r="15" spans="3:9" ht="18" x14ac:dyDescent="0.35">
      <c r="C15" s="17" t="s">
        <v>6</v>
      </c>
      <c r="D15" s="15">
        <f>MAX(D6:D13)</f>
        <v>2003</v>
      </c>
      <c r="G15" s="1"/>
    </row>
    <row r="16" spans="3:9" ht="18" x14ac:dyDescent="0.35">
      <c r="C16" s="17" t="s">
        <v>7</v>
      </c>
      <c r="D16" s="15">
        <f>(D14+D15)/2</f>
        <v>1999</v>
      </c>
      <c r="G16" s="1"/>
    </row>
    <row r="19" spans="4:12" x14ac:dyDescent="0.3">
      <c r="E19">
        <f t="array" ref="E19:L22">TRANSPOSE(X)</f>
        <v>1</v>
      </c>
      <c r="F19">
        <v>1</v>
      </c>
      <c r="G19">
        <v>1</v>
      </c>
      <c r="H19">
        <v>1</v>
      </c>
      <c r="I19">
        <v>1</v>
      </c>
      <c r="J19">
        <v>1</v>
      </c>
      <c r="K19">
        <v>1</v>
      </c>
      <c r="L19">
        <v>1</v>
      </c>
    </row>
    <row r="20" spans="4:12" x14ac:dyDescent="0.3">
      <c r="D20" t="s">
        <v>8</v>
      </c>
      <c r="E20">
        <v>-1</v>
      </c>
      <c r="F20">
        <v>-0.5</v>
      </c>
      <c r="G20">
        <v>-0.25</v>
      </c>
      <c r="H20">
        <v>0</v>
      </c>
      <c r="I20">
        <v>0.25</v>
      </c>
      <c r="J20">
        <v>0.5</v>
      </c>
      <c r="K20">
        <v>0.75</v>
      </c>
      <c r="L20">
        <v>1</v>
      </c>
    </row>
    <row r="21" spans="4:12" x14ac:dyDescent="0.3">
      <c r="E21">
        <v>1</v>
      </c>
      <c r="F21">
        <v>0.25</v>
      </c>
      <c r="G21">
        <v>6.25E-2</v>
      </c>
      <c r="H21">
        <v>0</v>
      </c>
      <c r="I21">
        <v>6.25E-2</v>
      </c>
      <c r="J21">
        <v>0.25</v>
      </c>
      <c r="K21">
        <v>0.5625</v>
      </c>
      <c r="L21">
        <v>1</v>
      </c>
    </row>
    <row r="22" spans="4:12" x14ac:dyDescent="0.3">
      <c r="E22">
        <v>-1</v>
      </c>
      <c r="F22">
        <v>-0.125</v>
      </c>
      <c r="G22">
        <v>-1.5625E-2</v>
      </c>
      <c r="H22">
        <v>0</v>
      </c>
      <c r="I22">
        <v>1.5625E-2</v>
      </c>
      <c r="J22">
        <v>0.125</v>
      </c>
      <c r="K22">
        <v>0.421875</v>
      </c>
      <c r="L22">
        <v>1</v>
      </c>
    </row>
    <row r="25" spans="4:12" x14ac:dyDescent="0.3">
      <c r="E25">
        <f t="array" ref="E25:H28">MMULT(Xt,X)</f>
        <v>8</v>
      </c>
      <c r="F25">
        <v>0.75</v>
      </c>
      <c r="G25">
        <v>3.1875</v>
      </c>
      <c r="H25">
        <v>0.421875</v>
      </c>
    </row>
    <row r="26" spans="4:12" x14ac:dyDescent="0.3">
      <c r="E26">
        <v>0.75</v>
      </c>
      <c r="F26">
        <v>3.1875</v>
      </c>
      <c r="G26">
        <v>0.421875</v>
      </c>
      <c r="H26">
        <v>2.44921875</v>
      </c>
    </row>
    <row r="27" spans="4:12" x14ac:dyDescent="0.3">
      <c r="D27" t="s">
        <v>9</v>
      </c>
      <c r="E27">
        <v>3.1875</v>
      </c>
      <c r="F27">
        <v>0.421875</v>
      </c>
      <c r="G27">
        <v>2.44921875</v>
      </c>
      <c r="H27">
        <v>0.2373046875</v>
      </c>
    </row>
    <row r="28" spans="4:12" x14ac:dyDescent="0.3">
      <c r="E28">
        <v>0.421875</v>
      </c>
      <c r="F28">
        <v>2.44921875</v>
      </c>
      <c r="G28">
        <v>0.2373046875</v>
      </c>
      <c r="H28">
        <v>2.209716796875</v>
      </c>
    </row>
    <row r="31" spans="4:12" x14ac:dyDescent="0.3">
      <c r="E31">
        <f t="array" ref="E31:H34">MINVERSE(XtX)</f>
        <v>0.26087947140578721</v>
      </c>
      <c r="F31">
        <v>-4.3138148401306337E-2</v>
      </c>
      <c r="G31">
        <v>-0.33538391433128273</v>
      </c>
      <c r="H31">
        <v>3.4024455077086652E-2</v>
      </c>
    </row>
    <row r="32" spans="4:12" x14ac:dyDescent="0.3">
      <c r="D32" t="s">
        <v>10</v>
      </c>
      <c r="E32">
        <v>-4.3138148401306302E-2</v>
      </c>
      <c r="F32">
        <v>2.1697172223488015</v>
      </c>
      <c r="G32">
        <v>-8.6276296802612562E-2</v>
      </c>
      <c r="H32">
        <v>-2.3873825979089132</v>
      </c>
    </row>
    <row r="33" spans="4:8" x14ac:dyDescent="0.3">
      <c r="E33">
        <v>-0.33538391433128273</v>
      </c>
      <c r="F33">
        <v>-8.627629680261259E-2</v>
      </c>
      <c r="G33">
        <v>0.85304169514695827</v>
      </c>
      <c r="H33">
        <v>6.8048910154173303E-2</v>
      </c>
    </row>
    <row r="34" spans="4:8" x14ac:dyDescent="0.3">
      <c r="E34">
        <v>3.4024455077086665E-2</v>
      </c>
      <c r="F34">
        <v>-2.3873825979089136</v>
      </c>
      <c r="G34">
        <v>6.8048910154173289E-2</v>
      </c>
      <c r="H34">
        <v>3.0848839269891895</v>
      </c>
    </row>
    <row r="37" spans="4:8" x14ac:dyDescent="0.3">
      <c r="E37">
        <f t="array" ref="E37:E40">MMULT(Xt,Y)</f>
        <v>436.1</v>
      </c>
    </row>
    <row r="38" spans="4:8" x14ac:dyDescent="0.3">
      <c r="D38" t="s">
        <v>11</v>
      </c>
      <c r="E38">
        <v>82.299999999999983</v>
      </c>
    </row>
    <row r="39" spans="4:8" x14ac:dyDescent="0.3">
      <c r="E39">
        <v>177.71249999999998</v>
      </c>
    </row>
    <row r="40" spans="4:8" x14ac:dyDescent="0.3">
      <c r="E40">
        <v>55.178124999999994</v>
      </c>
    </row>
    <row r="43" spans="4:8" x14ac:dyDescent="0.3">
      <c r="E43">
        <f t="array" ref="E43:E46">MMULT(XtXobr,XtY)</f>
        <v>52.494759626338585</v>
      </c>
    </row>
    <row r="44" spans="4:8" x14ac:dyDescent="0.3">
      <c r="D44" t="s">
        <v>12</v>
      </c>
      <c r="E44">
        <v>12.691509075719637</v>
      </c>
    </row>
    <row r="45" spans="4:8" x14ac:dyDescent="0.3">
      <c r="E45">
        <v>1.9895192526771441</v>
      </c>
    </row>
    <row r="46" spans="4:8" x14ac:dyDescent="0.3">
      <c r="E46">
        <v>0.6677299308878446</v>
      </c>
    </row>
    <row r="48" spans="4:8" ht="15" thickBot="1" x14ac:dyDescent="0.35"/>
    <row r="49" spans="2:9" ht="15" thickBot="1" x14ac:dyDescent="0.35">
      <c r="B49" s="2" t="s">
        <v>13</v>
      </c>
      <c r="C49">
        <v>0</v>
      </c>
      <c r="D49">
        <v>3</v>
      </c>
    </row>
    <row r="50" spans="2:9" ht="18.600000000000001" thickBot="1" x14ac:dyDescent="0.4">
      <c r="B50" s="3" t="s">
        <v>14</v>
      </c>
      <c r="C50" s="1">
        <f>VAR(Y)*7</f>
        <v>556.2487499999952</v>
      </c>
      <c r="D50" s="1">
        <f>SUMXMY2(Y,I6:I13)</f>
        <v>1.2676042378673957</v>
      </c>
    </row>
    <row r="51" spans="2:9" ht="18.600000000000001" thickBot="1" x14ac:dyDescent="0.4">
      <c r="B51" s="3" t="s">
        <v>15</v>
      </c>
      <c r="D51" s="1">
        <f>C50-D50</f>
        <v>554.98114576212777</v>
      </c>
    </row>
    <row r="52" spans="2:9" ht="15" thickBot="1" x14ac:dyDescent="0.35">
      <c r="B52" s="3" t="s">
        <v>16</v>
      </c>
      <c r="D52">
        <v>3</v>
      </c>
    </row>
    <row r="53" spans="2:9" ht="15" thickBot="1" x14ac:dyDescent="0.35">
      <c r="B53" s="3" t="s">
        <v>17</v>
      </c>
      <c r="D53">
        <v>4</v>
      </c>
    </row>
    <row r="54" spans="2:9" ht="18.600000000000001" thickBot="1" x14ac:dyDescent="0.4">
      <c r="B54" s="3" t="s">
        <v>18</v>
      </c>
      <c r="D54" s="1">
        <f>D50/D52</f>
        <v>0.4225347459557986</v>
      </c>
    </row>
    <row r="55" spans="2:9" ht="18.600000000000001" thickBot="1" x14ac:dyDescent="0.4">
      <c r="B55" s="3" t="s">
        <v>19</v>
      </c>
      <c r="D55" s="1">
        <f>D51/D53</f>
        <v>138.74528644053194</v>
      </c>
    </row>
    <row r="56" spans="2:9" ht="18.600000000000001" thickBot="1" x14ac:dyDescent="0.4">
      <c r="B56" s="3" t="s">
        <v>20</v>
      </c>
      <c r="D56" s="1">
        <f>D55/D54</f>
        <v>328.36420618304868</v>
      </c>
    </row>
    <row r="57" spans="2:9" ht="18.600000000000001" thickBot="1" x14ac:dyDescent="0.4">
      <c r="B57" s="3" t="s">
        <v>21</v>
      </c>
      <c r="D57" s="1">
        <f>FINV(0.05,4,3)</f>
        <v>9.1171822532464244</v>
      </c>
    </row>
    <row r="61" spans="2:9" ht="18" x14ac:dyDescent="0.3">
      <c r="I61" s="7">
        <f>_xlfn.T.INV.2T(0.05,7)</f>
        <v>2.3646242515927849</v>
      </c>
    </row>
    <row r="63" spans="2:9" ht="59.4" customHeight="1" x14ac:dyDescent="0.3">
      <c r="E63" s="4" t="s">
        <v>22</v>
      </c>
      <c r="F63" s="4" t="s">
        <v>23</v>
      </c>
      <c r="G63" s="4" t="s">
        <v>24</v>
      </c>
      <c r="H63" s="4" t="s">
        <v>25</v>
      </c>
      <c r="I63" s="4" t="s">
        <v>26</v>
      </c>
    </row>
    <row r="64" spans="2:9" ht="18" x14ac:dyDescent="0.35">
      <c r="E64">
        <f t="array" ref="E64:E67">MMULT(XtXobr,XtY)</f>
        <v>52.494759626338585</v>
      </c>
      <c r="F64" s="5">
        <v>0.26087947140578721</v>
      </c>
      <c r="G64" s="1">
        <f>F64*$D$54</f>
        <v>0.11023064117552732</v>
      </c>
      <c r="H64" s="1">
        <f>G64^0.5</f>
        <v>0.33201000161972127</v>
      </c>
      <c r="I64" s="21">
        <f>H64*$I$61</f>
        <v>0.78507890160135274</v>
      </c>
    </row>
    <row r="65" spans="5:9" ht="16.2" customHeight="1" thickBot="1" x14ac:dyDescent="0.4">
      <c r="E65">
        <v>12.691509075719637</v>
      </c>
      <c r="F65" s="6">
        <v>2.1697172220000001</v>
      </c>
      <c r="G65" s="1">
        <f t="shared" ref="G65:G67" si="4">F65*$D$54</f>
        <v>0.91678091519369109</v>
      </c>
      <c r="H65" s="1">
        <f t="shared" ref="H65:H67" si="5">G65^0.5</f>
        <v>0.9574867702447335</v>
      </c>
      <c r="I65" s="21">
        <f t="shared" ref="I65:I67" si="6">H65*$I$61</f>
        <v>2.2640964374999459</v>
      </c>
    </row>
    <row r="66" spans="5:9" ht="18.600000000000001" thickBot="1" x14ac:dyDescent="0.4">
      <c r="E66">
        <v>1.9895192526771441</v>
      </c>
      <c r="F66" s="6">
        <v>0.85304169500000004</v>
      </c>
      <c r="G66" s="1">
        <f t="shared" si="4"/>
        <v>0.36043975588652882</v>
      </c>
      <c r="H66" s="1">
        <f t="shared" si="5"/>
        <v>0.6003663513943206</v>
      </c>
      <c r="I66" s="21">
        <f t="shared" si="6"/>
        <v>1.4196408343472862</v>
      </c>
    </row>
    <row r="67" spans="5:9" ht="18.600000000000001" thickBot="1" x14ac:dyDescent="0.4">
      <c r="E67">
        <v>0.6677299308878446</v>
      </c>
      <c r="F67" s="6">
        <v>3.0848839269999999</v>
      </c>
      <c r="G67" s="1">
        <f t="shared" si="4"/>
        <v>1.3034706463980712</v>
      </c>
      <c r="H67" s="1">
        <f t="shared" si="5"/>
        <v>1.141696389763089</v>
      </c>
      <c r="I67" s="1">
        <f t="shared" si="6"/>
        <v>2.6996829711897288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B2:S56"/>
  <sheetViews>
    <sheetView tabSelected="1" topLeftCell="C18" workbookViewId="0">
      <selection activeCell="U35" sqref="U35"/>
    </sheetView>
  </sheetViews>
  <sheetFormatPr defaultRowHeight="14.4" x14ac:dyDescent="0.3"/>
  <cols>
    <col min="2" max="2" width="38.109375" bestFit="1" customWidth="1"/>
  </cols>
  <sheetData>
    <row r="2" spans="3:19" x14ac:dyDescent="0.3">
      <c r="K2" s="10">
        <v>1</v>
      </c>
      <c r="L2" s="10">
        <v>1</v>
      </c>
      <c r="M2" s="10">
        <v>1</v>
      </c>
      <c r="N2" s="10">
        <v>1</v>
      </c>
      <c r="O2" s="10">
        <v>1</v>
      </c>
      <c r="P2" s="10">
        <v>1</v>
      </c>
      <c r="Q2" s="10">
        <v>1</v>
      </c>
      <c r="R2" s="10">
        <v>1</v>
      </c>
      <c r="S2" s="10">
        <v>1</v>
      </c>
    </row>
    <row r="3" spans="3:19" x14ac:dyDescent="0.3">
      <c r="K3" s="10">
        <v>-1</v>
      </c>
      <c r="L3" s="10">
        <v>-0.5</v>
      </c>
      <c r="M3" s="10">
        <v>-0.25</v>
      </c>
      <c r="N3" s="10">
        <v>0</v>
      </c>
      <c r="O3" s="10">
        <v>0.25</v>
      </c>
      <c r="P3" s="10">
        <v>0.5</v>
      </c>
      <c r="Q3" s="10">
        <v>0.75</v>
      </c>
      <c r="R3" s="10">
        <v>1</v>
      </c>
      <c r="S3" s="14">
        <v>1.25</v>
      </c>
    </row>
    <row r="4" spans="3:19" x14ac:dyDescent="0.3">
      <c r="C4" s="14" t="s">
        <v>32</v>
      </c>
      <c r="D4" s="18" t="s">
        <v>34</v>
      </c>
      <c r="E4" s="9" t="s">
        <v>1</v>
      </c>
      <c r="F4" s="9" t="s">
        <v>27</v>
      </c>
      <c r="G4" s="9" t="s">
        <v>28</v>
      </c>
      <c r="H4" s="9" t="s">
        <v>31</v>
      </c>
      <c r="K4" s="10">
        <v>1</v>
      </c>
      <c r="L4" s="10">
        <v>0.25</v>
      </c>
      <c r="M4" s="10">
        <v>6.25E-2</v>
      </c>
      <c r="N4" s="10">
        <v>0</v>
      </c>
      <c r="O4" s="10">
        <v>6.25E-2</v>
      </c>
      <c r="P4" s="10">
        <v>0.25</v>
      </c>
      <c r="Q4" s="10">
        <v>0.5625</v>
      </c>
      <c r="R4" s="10">
        <v>1</v>
      </c>
      <c r="S4" s="14">
        <f>S3^2</f>
        <v>1.5625</v>
      </c>
    </row>
    <row r="5" spans="3:19" ht="15.6" x14ac:dyDescent="0.3">
      <c r="C5" s="12">
        <v>41</v>
      </c>
      <c r="D5" s="19">
        <v>1995</v>
      </c>
      <c r="E5" s="10">
        <v>1</v>
      </c>
      <c r="F5" s="10">
        <v>-1</v>
      </c>
      <c r="G5" s="10">
        <v>1</v>
      </c>
      <c r="H5" s="14">
        <f>MMULT(E5:G5,$D$34:$D$36)</f>
        <v>41.253921568627426</v>
      </c>
      <c r="K5">
        <f t="array" ref="K5:K7">MMULT($D$26:$F$28,K2:K4)</f>
        <v>-5.8823529411764774E-2</v>
      </c>
      <c r="L5">
        <f t="array" ref="L5:L7">MMULT($D$26:$F$28,L2:L4)</f>
        <v>0.18487394957983191</v>
      </c>
      <c r="M5">
        <f t="array" ref="M5:M7">MMULT($D$26:$F$28,M2:M4)</f>
        <v>0.24369747899159658</v>
      </c>
      <c r="N5">
        <f t="array" ref="N5:N7">MMULT($D$26:$F$28,N2:N4)</f>
        <v>0.26050420168067223</v>
      </c>
      <c r="O5">
        <f t="array" ref="O5:O7">MMULT($D$26:$F$28,O2:O4)</f>
        <v>0.23529411764705879</v>
      </c>
      <c r="P5">
        <f t="array" ref="P5:P7">MMULT($D$26:$F$28,P2:P4)</f>
        <v>0.16806722689075623</v>
      </c>
      <c r="Q5">
        <f t="array" ref="Q5:Q7">MMULT($D$26:$F$28,Q2:Q4)</f>
        <v>5.8823529411764636E-2</v>
      </c>
      <c r="R5">
        <f t="array" ref="R5:R7">MMULT($D$26:$F$28,R2:R4)</f>
        <v>-9.2436974789916027E-2</v>
      </c>
      <c r="S5">
        <f t="array" ref="S5:S7">MMULT($D$26:$F$28,S2:S4)</f>
        <v>-0.28571428571428581</v>
      </c>
    </row>
    <row r="6" spans="3:19" ht="15.6" x14ac:dyDescent="0.3">
      <c r="C6" s="12">
        <v>47.2</v>
      </c>
      <c r="D6" s="19">
        <v>1997</v>
      </c>
      <c r="E6" s="10">
        <v>1</v>
      </c>
      <c r="F6" s="10">
        <v>-0.5</v>
      </c>
      <c r="G6" s="10">
        <v>0.25</v>
      </c>
      <c r="H6" s="14">
        <f t="shared" ref="H6:H13" si="0">MMULT(E6:G6,$D$34:$D$36)</f>
        <v>46.376960784313709</v>
      </c>
      <c r="K6">
        <v>-0.37254901960784315</v>
      </c>
      <c r="L6">
        <v>-0.18627450980392157</v>
      </c>
      <c r="M6">
        <v>-9.9439775910364153E-2</v>
      </c>
      <c r="N6">
        <v>-1.680672268907563E-2</v>
      </c>
      <c r="O6">
        <v>6.1624649859943988E-2</v>
      </c>
      <c r="P6">
        <v>0.13585434173669469</v>
      </c>
      <c r="Q6">
        <v>0.20588235294117652</v>
      </c>
      <c r="R6">
        <v>0.27170868347338939</v>
      </c>
      <c r="S6">
        <v>0.33333333333333337</v>
      </c>
    </row>
    <row r="7" spans="3:19" ht="15.6" x14ac:dyDescent="0.3">
      <c r="C7" s="12">
        <v>49.1</v>
      </c>
      <c r="D7" s="19">
        <v>1998</v>
      </c>
      <c r="E7" s="10">
        <v>1</v>
      </c>
      <c r="F7" s="10">
        <v>-0.25</v>
      </c>
      <c r="G7" s="10">
        <v>6.25E-2</v>
      </c>
      <c r="H7" s="14">
        <f t="shared" si="0"/>
        <v>49.308753501400545</v>
      </c>
      <c r="K7">
        <v>0.5490196078431373</v>
      </c>
      <c r="L7">
        <v>-0.10644257703081231</v>
      </c>
      <c r="M7">
        <v>-0.2745098039215686</v>
      </c>
      <c r="N7">
        <v>-0.33613445378151258</v>
      </c>
      <c r="O7">
        <v>-0.29131652661064428</v>
      </c>
      <c r="P7">
        <v>-0.14005602240896356</v>
      </c>
      <c r="Q7">
        <v>0.11764705882352938</v>
      </c>
      <c r="R7">
        <v>0.48179271708683474</v>
      </c>
      <c r="S7">
        <v>0.95238095238095233</v>
      </c>
    </row>
    <row r="8" spans="3:19" ht="15.6" x14ac:dyDescent="0.3">
      <c r="C8" s="12">
        <v>51.8</v>
      </c>
      <c r="D8" s="19">
        <v>1999</v>
      </c>
      <c r="E8" s="10">
        <v>1</v>
      </c>
      <c r="F8" s="10">
        <v>0</v>
      </c>
      <c r="G8" s="10">
        <v>0</v>
      </c>
      <c r="H8" s="14">
        <f t="shared" si="0"/>
        <v>52.487394957983184</v>
      </c>
      <c r="K8">
        <f>MMULT(E5:G5,K5:K7)</f>
        <v>0.86274509803921573</v>
      </c>
      <c r="L8">
        <f>MMULT(E6:G6,L5:L7)</f>
        <v>0.25140056022408963</v>
      </c>
      <c r="M8">
        <f>MMULT(E7:G7,M5:M7)</f>
        <v>0.25140056022408958</v>
      </c>
      <c r="N8">
        <f>MMULT(E8:G8,N5:N7)</f>
        <v>0.26050420168067223</v>
      </c>
      <c r="O8">
        <f>MMULT(E9:G9,O5:O7)</f>
        <v>0.23249299719887956</v>
      </c>
      <c r="P8">
        <f>MMULT(E10:G10,P5:P7)</f>
        <v>0.2009803921568627</v>
      </c>
      <c r="Q8">
        <f>MMULT(E11:G11,Q5:Q7)</f>
        <v>0.2794117647058823</v>
      </c>
      <c r="R8">
        <f>MMULT(E12:G12,R5:R7)</f>
        <v>0.66106442577030811</v>
      </c>
      <c r="S8">
        <f>MMULT(E13:G13,S5:S7)</f>
        <v>1.6190476190476188</v>
      </c>
    </row>
    <row r="9" spans="3:19" ht="15.6" x14ac:dyDescent="0.3">
      <c r="C9" s="12">
        <v>56.2</v>
      </c>
      <c r="D9" s="19">
        <v>2000</v>
      </c>
      <c r="E9" s="10">
        <v>1</v>
      </c>
      <c r="F9" s="10">
        <v>0.25</v>
      </c>
      <c r="G9" s="10">
        <v>6.25E-2</v>
      </c>
      <c r="H9" s="14">
        <f t="shared" si="0"/>
        <v>55.912885154061613</v>
      </c>
      <c r="K9">
        <f>K8*$D$45</f>
        <v>0.30457832152469116</v>
      </c>
      <c r="L9">
        <f t="shared" ref="L9:S9" si="1">L8*$D$45</f>
        <v>8.875293622350984E-2</v>
      </c>
      <c r="M9">
        <f t="shared" si="1"/>
        <v>8.8752936223509826E-2</v>
      </c>
      <c r="N9">
        <f t="shared" si="1"/>
        <v>9.1966830849987899E-2</v>
      </c>
      <c r="O9">
        <f t="shared" si="1"/>
        <v>8.2077924306978467E-2</v>
      </c>
      <c r="P9">
        <f t="shared" si="1"/>
        <v>7.0952904446092813E-2</v>
      </c>
      <c r="Q9">
        <f t="shared" si="1"/>
        <v>9.8641842766519286E-2</v>
      </c>
      <c r="R9">
        <f t="shared" si="1"/>
        <v>0.23337819441502308</v>
      </c>
      <c r="S9">
        <f t="shared" si="1"/>
        <v>0.57157879818594637</v>
      </c>
    </row>
    <row r="10" spans="3:19" ht="15.6" x14ac:dyDescent="0.3">
      <c r="C10" s="12">
        <v>59.7</v>
      </c>
      <c r="D10" s="19">
        <v>2001</v>
      </c>
      <c r="E10" s="10">
        <v>1</v>
      </c>
      <c r="F10" s="10">
        <v>0.5</v>
      </c>
      <c r="G10" s="10">
        <v>0.25</v>
      </c>
      <c r="H10" s="14">
        <f t="shared" si="0"/>
        <v>59.585224089635844</v>
      </c>
      <c r="K10">
        <f>K9^0.5</f>
        <v>0.5518861490603757</v>
      </c>
      <c r="L10">
        <f t="shared" ref="L10:S10" si="2">L9^0.5</f>
        <v>0.29791431020263165</v>
      </c>
      <c r="M10">
        <f t="shared" si="2"/>
        <v>0.29791431020263165</v>
      </c>
      <c r="N10">
        <f t="shared" si="2"/>
        <v>0.30326033510828265</v>
      </c>
      <c r="O10">
        <f t="shared" si="2"/>
        <v>0.28649245069805673</v>
      </c>
      <c r="P10">
        <f t="shared" si="2"/>
        <v>0.26636986399758666</v>
      </c>
      <c r="Q10">
        <f t="shared" si="2"/>
        <v>0.31407298955261864</v>
      </c>
      <c r="R10">
        <f t="shared" si="2"/>
        <v>0.48309232493905663</v>
      </c>
      <c r="S10">
        <f t="shared" si="2"/>
        <v>0.75602830514865405</v>
      </c>
    </row>
    <row r="11" spans="3:19" ht="15.6" x14ac:dyDescent="0.3">
      <c r="C11" s="12">
        <v>63.3</v>
      </c>
      <c r="D11" s="19">
        <v>2002</v>
      </c>
      <c r="E11" s="10">
        <v>1</v>
      </c>
      <c r="F11" s="10">
        <v>0.75</v>
      </c>
      <c r="G11" s="10">
        <v>0.5625</v>
      </c>
      <c r="H11" s="14">
        <f t="shared" si="0"/>
        <v>63.504411764705864</v>
      </c>
      <c r="J11" t="s">
        <v>35</v>
      </c>
      <c r="K11">
        <f>K10*$K$21</f>
        <v>1.305003372186315</v>
      </c>
      <c r="L11">
        <f t="shared" ref="L11:S11" si="3">L10*$K$21</f>
        <v>0.70445540280167862</v>
      </c>
      <c r="M11">
        <f t="shared" si="3"/>
        <v>0.70445540280167862</v>
      </c>
      <c r="N11">
        <f t="shared" si="3"/>
        <v>0.71709674294320003</v>
      </c>
      <c r="O11">
        <f t="shared" si="3"/>
        <v>0.67744699681887521</v>
      </c>
      <c r="P11">
        <f t="shared" si="3"/>
        <v>0.62986464030216527</v>
      </c>
      <c r="Q11">
        <f t="shared" si="3"/>
        <v>0.74266460786636945</v>
      </c>
      <c r="R11">
        <f t="shared" si="3"/>
        <v>1.1423318273092353</v>
      </c>
      <c r="S11">
        <f t="shared" si="3"/>
        <v>1.7877228652450976</v>
      </c>
    </row>
    <row r="12" spans="3:19" ht="15.6" x14ac:dyDescent="0.3">
      <c r="C12" s="12">
        <v>67.8</v>
      </c>
      <c r="D12" s="19">
        <v>2003</v>
      </c>
      <c r="E12" s="10">
        <v>1</v>
      </c>
      <c r="F12" s="10">
        <v>1</v>
      </c>
      <c r="G12" s="10">
        <v>1</v>
      </c>
      <c r="H12" s="14">
        <f t="shared" si="0"/>
        <v>67.670448179271688</v>
      </c>
      <c r="J12" t="s">
        <v>37</v>
      </c>
      <c r="K12">
        <f>H5-K11</f>
        <v>39.948918196441113</v>
      </c>
      <c r="L12">
        <f>H6-L11</f>
        <v>45.672505381512032</v>
      </c>
      <c r="M12">
        <f>H7-M11</f>
        <v>48.604298098598868</v>
      </c>
      <c r="N12">
        <f>H8-N11</f>
        <v>51.770298215039986</v>
      </c>
      <c r="O12">
        <f>H9-O11</f>
        <v>55.23543815724274</v>
      </c>
      <c r="P12">
        <f>H10-P11</f>
        <v>58.955359449333677</v>
      </c>
      <c r="Q12">
        <f>H11-Q11</f>
        <v>62.761747156839498</v>
      </c>
      <c r="R12">
        <f>H12-R11</f>
        <v>66.528116351962453</v>
      </c>
      <c r="S12">
        <f>S14-S11</f>
        <v>70.295610468088199</v>
      </c>
    </row>
    <row r="13" spans="3:19" x14ac:dyDescent="0.3">
      <c r="C13" s="14">
        <v>72.7</v>
      </c>
      <c r="D13" s="19">
        <v>2004</v>
      </c>
      <c r="E13" s="10">
        <v>1</v>
      </c>
      <c r="F13" s="14">
        <v>1.25</v>
      </c>
      <c r="G13" s="14">
        <f>F13^2</f>
        <v>1.5625</v>
      </c>
      <c r="H13" s="14">
        <f t="shared" si="0"/>
        <v>72.0833333333333</v>
      </c>
      <c r="J13" t="s">
        <v>36</v>
      </c>
      <c r="K13">
        <f>H5+K11</f>
        <v>42.558924940813739</v>
      </c>
      <c r="L13">
        <f>H6+L11</f>
        <v>47.081416187115387</v>
      </c>
      <c r="M13">
        <f>H7+M11</f>
        <v>50.013208904202223</v>
      </c>
      <c r="N13">
        <f>H8+N11</f>
        <v>53.204491700926383</v>
      </c>
      <c r="O13">
        <f>H9+O11</f>
        <v>56.590332150880485</v>
      </c>
      <c r="P13">
        <f>H10+P11</f>
        <v>60.21508872993801</v>
      </c>
      <c r="Q13">
        <f>H11+Q11</f>
        <v>64.247076372572238</v>
      </c>
      <c r="R13">
        <f>H12+R11</f>
        <v>68.812780006580923</v>
      </c>
      <c r="S13">
        <f>S14+S11</f>
        <v>73.871056198578401</v>
      </c>
    </row>
    <row r="14" spans="3:19" x14ac:dyDescent="0.3">
      <c r="J14" t="s">
        <v>31</v>
      </c>
      <c r="K14">
        <v>41.253921568627426</v>
      </c>
      <c r="L14">
        <v>46.376960784313709</v>
      </c>
      <c r="M14">
        <v>49.308753501400545</v>
      </c>
      <c r="N14">
        <v>52.487394957983184</v>
      </c>
      <c r="O14">
        <v>55.912885154061613</v>
      </c>
      <c r="P14">
        <v>59.585224089635844</v>
      </c>
      <c r="Q14">
        <v>63.504411764705864</v>
      </c>
      <c r="R14">
        <v>67.670448179271688</v>
      </c>
      <c r="S14">
        <v>72.0833333333333</v>
      </c>
    </row>
    <row r="15" spans="3:19" x14ac:dyDescent="0.3">
      <c r="J15" t="s">
        <v>32</v>
      </c>
      <c r="K15">
        <v>41</v>
      </c>
      <c r="L15">
        <v>47.2</v>
      </c>
      <c r="M15">
        <v>49.1</v>
      </c>
      <c r="N15">
        <v>51.8</v>
      </c>
      <c r="O15">
        <v>56.2</v>
      </c>
      <c r="P15">
        <v>59.7</v>
      </c>
      <c r="Q15">
        <v>63.3</v>
      </c>
      <c r="R15">
        <v>67.8</v>
      </c>
      <c r="S15">
        <v>72.7</v>
      </c>
    </row>
    <row r="16" spans="3:19" x14ac:dyDescent="0.3">
      <c r="D16">
        <f t="array" ref="D16:K18">TRANSPOSE(E5:G12)</f>
        <v>1</v>
      </c>
      <c r="E16">
        <v>1</v>
      </c>
      <c r="F16">
        <v>1</v>
      </c>
      <c r="G16">
        <v>1</v>
      </c>
      <c r="H16">
        <v>1</v>
      </c>
      <c r="I16">
        <v>1</v>
      </c>
      <c r="J16">
        <v>1</v>
      </c>
      <c r="K16">
        <v>1</v>
      </c>
    </row>
    <row r="17" spans="3:11" x14ac:dyDescent="0.3">
      <c r="C17" t="s">
        <v>29</v>
      </c>
      <c r="D17">
        <v>-1</v>
      </c>
      <c r="E17">
        <v>-0.5</v>
      </c>
      <c r="F17">
        <v>-0.25</v>
      </c>
      <c r="G17">
        <v>0</v>
      </c>
      <c r="H17">
        <v>0.25</v>
      </c>
      <c r="I17">
        <v>0.5</v>
      </c>
      <c r="J17">
        <v>0.75</v>
      </c>
      <c r="K17">
        <v>1</v>
      </c>
    </row>
    <row r="18" spans="3:11" x14ac:dyDescent="0.3">
      <c r="D18">
        <v>1</v>
      </c>
      <c r="E18">
        <v>0.25</v>
      </c>
      <c r="F18">
        <v>6.25E-2</v>
      </c>
      <c r="G18">
        <v>0</v>
      </c>
      <c r="H18">
        <v>6.25E-2</v>
      </c>
      <c r="I18">
        <v>0.25</v>
      </c>
      <c r="J18">
        <v>0.5625</v>
      </c>
      <c r="K18">
        <v>1</v>
      </c>
    </row>
    <row r="21" spans="3:11" ht="18" x14ac:dyDescent="0.3">
      <c r="D21">
        <f t="array" ref="D21:F23">MMULT(D16:K18,E5:G12)</f>
        <v>8</v>
      </c>
      <c r="E21">
        <v>0.75</v>
      </c>
      <c r="F21">
        <v>3.1875</v>
      </c>
      <c r="K21" s="7">
        <f>_xlfn.T.INV.2T(0.05,7)</f>
        <v>2.3646242515927849</v>
      </c>
    </row>
    <row r="22" spans="3:11" x14ac:dyDescent="0.3">
      <c r="C22" t="s">
        <v>9</v>
      </c>
      <c r="D22">
        <v>0.75</v>
      </c>
      <c r="E22">
        <v>3.1875</v>
      </c>
      <c r="F22">
        <v>0.421875</v>
      </c>
    </row>
    <row r="23" spans="3:11" x14ac:dyDescent="0.3">
      <c r="D23">
        <v>3.1875</v>
      </c>
      <c r="E23">
        <v>0.421875</v>
      </c>
      <c r="F23">
        <v>2.44921875</v>
      </c>
    </row>
    <row r="26" spans="3:11" x14ac:dyDescent="0.3">
      <c r="D26">
        <f t="array" ref="D26:F28">MINVERSE(D21:F23)</f>
        <v>0.26050420168067223</v>
      </c>
      <c r="E26">
        <v>-1.6806722689075633E-2</v>
      </c>
      <c r="F26">
        <v>-0.33613445378151263</v>
      </c>
    </row>
    <row r="27" spans="3:11" x14ac:dyDescent="0.3">
      <c r="C27" t="s">
        <v>30</v>
      </c>
      <c r="D27">
        <v>-1.680672268907563E-2</v>
      </c>
      <c r="E27">
        <v>0.32212885154061627</v>
      </c>
      <c r="F27">
        <v>-3.3613445378151259E-2</v>
      </c>
    </row>
    <row r="28" spans="3:11" x14ac:dyDescent="0.3">
      <c r="D28">
        <v>-0.33613445378151258</v>
      </c>
      <c r="E28">
        <v>-3.3613445378151259E-2</v>
      </c>
      <c r="F28">
        <v>0.85154061624649857</v>
      </c>
    </row>
    <row r="30" spans="3:11" x14ac:dyDescent="0.3">
      <c r="D30">
        <f t="array" ref="D30:D32">MMULT(D16:K18,Y)</f>
        <v>436.1</v>
      </c>
    </row>
    <row r="31" spans="3:11" x14ac:dyDescent="0.3">
      <c r="C31" t="s">
        <v>11</v>
      </c>
      <c r="D31">
        <v>82.299999999999983</v>
      </c>
    </row>
    <row r="32" spans="3:11" x14ac:dyDescent="0.3">
      <c r="D32">
        <v>177.71249999999998</v>
      </c>
    </row>
    <row r="34" spans="2:4" x14ac:dyDescent="0.3">
      <c r="D34">
        <f t="array" ref="D34:D36">MMULT(D26:F28,D30:D32)</f>
        <v>52.487394957983184</v>
      </c>
    </row>
    <row r="35" spans="2:4" x14ac:dyDescent="0.3">
      <c r="C35" t="s">
        <v>12</v>
      </c>
      <c r="D35">
        <v>13.208263305322127</v>
      </c>
    </row>
    <row r="36" spans="2:4" x14ac:dyDescent="0.3">
      <c r="D36">
        <v>1.9747899159663689</v>
      </c>
    </row>
    <row r="39" spans="2:4" ht="15" thickBot="1" x14ac:dyDescent="0.35"/>
    <row r="40" spans="2:4" ht="15" thickBot="1" x14ac:dyDescent="0.35">
      <c r="B40" s="2" t="s">
        <v>13</v>
      </c>
      <c r="C40">
        <v>0</v>
      </c>
      <c r="D40">
        <v>3</v>
      </c>
    </row>
    <row r="41" spans="2:4" ht="18.600000000000001" thickBot="1" x14ac:dyDescent="0.4">
      <c r="B41" s="3" t="s">
        <v>14</v>
      </c>
      <c r="C41" s="1">
        <f>VAR(Y)*7</f>
        <v>556.2487499999952</v>
      </c>
      <c r="D41" s="1">
        <f>SUMXMY2(C5:C12,H5:H12)</f>
        <v>1.4121358543417499</v>
      </c>
    </row>
    <row r="42" spans="2:4" ht="18.600000000000001" thickBot="1" x14ac:dyDescent="0.4">
      <c r="B42" s="3" t="s">
        <v>15</v>
      </c>
      <c r="D42" s="1">
        <f>C41-D41</f>
        <v>554.83661414565347</v>
      </c>
    </row>
    <row r="43" spans="2:4" ht="15" thickBot="1" x14ac:dyDescent="0.35">
      <c r="B43" s="3" t="s">
        <v>16</v>
      </c>
      <c r="D43">
        <v>4</v>
      </c>
    </row>
    <row r="44" spans="2:4" ht="15" thickBot="1" x14ac:dyDescent="0.35">
      <c r="B44" s="3" t="s">
        <v>17</v>
      </c>
      <c r="D44">
        <v>3</v>
      </c>
    </row>
    <row r="45" spans="2:4" ht="18.600000000000001" thickBot="1" x14ac:dyDescent="0.4">
      <c r="B45" s="3" t="s">
        <v>18</v>
      </c>
      <c r="D45" s="1">
        <f>D41/D43</f>
        <v>0.35303396358543748</v>
      </c>
    </row>
    <row r="46" spans="2:4" ht="18.600000000000001" thickBot="1" x14ac:dyDescent="0.4">
      <c r="B46" s="3" t="s">
        <v>19</v>
      </c>
      <c r="D46" s="1">
        <f>D42/D44</f>
        <v>184.94553804855116</v>
      </c>
    </row>
    <row r="47" spans="2:4" ht="18.600000000000001" thickBot="1" x14ac:dyDescent="0.4">
      <c r="B47" s="3" t="s">
        <v>20</v>
      </c>
      <c r="D47" s="1">
        <f>D46/D45</f>
        <v>523.87463282634735</v>
      </c>
    </row>
    <row r="48" spans="2:4" ht="18.600000000000001" thickBot="1" x14ac:dyDescent="0.4">
      <c r="B48" s="3" t="s">
        <v>21</v>
      </c>
      <c r="D48" s="1">
        <f>FINV(0.05,3,4)</f>
        <v>6.5913821164255788</v>
      </c>
    </row>
    <row r="52" spans="3:7" ht="18" x14ac:dyDescent="0.35">
      <c r="D52" s="1">
        <f>TINV(0.05,7)</f>
        <v>2.3646242515927849</v>
      </c>
    </row>
    <row r="53" spans="3:7" x14ac:dyDescent="0.3">
      <c r="G53" t="s">
        <v>33</v>
      </c>
    </row>
    <row r="54" spans="3:7" x14ac:dyDescent="0.3">
      <c r="C54">
        <v>52.487394957983184</v>
      </c>
      <c r="D54" s="8">
        <v>0.26050400000000001</v>
      </c>
      <c r="E54">
        <f>D54*$D$45</f>
        <v>9.1966759649860813E-2</v>
      </c>
      <c r="F54">
        <f>E54^0.5</f>
        <v>0.30326021771716249</v>
      </c>
      <c r="G54" s="20">
        <f>$D$52*F54</f>
        <v>0.71709646535731042</v>
      </c>
    </row>
    <row r="55" spans="3:7" x14ac:dyDescent="0.3">
      <c r="C55">
        <v>13.208263305322127</v>
      </c>
      <c r="D55" s="8">
        <v>0.322129</v>
      </c>
      <c r="E55">
        <f t="shared" ref="E55:E56" si="4">D55*$D$45</f>
        <v>0.11372247765581339</v>
      </c>
      <c r="F55">
        <f t="shared" ref="F55:F56" si="5">E55^0.5</f>
        <v>0.3372276347748111</v>
      </c>
      <c r="G55" s="20">
        <f t="shared" ref="G55:G56" si="6">$D$52*F55</f>
        <v>0.79741664349579267</v>
      </c>
    </row>
    <row r="56" spans="3:7" x14ac:dyDescent="0.3">
      <c r="C56">
        <v>1.9747899159663689</v>
      </c>
      <c r="D56" s="8">
        <v>0.85154099999999999</v>
      </c>
      <c r="E56">
        <f t="shared" si="4"/>
        <v>0.30062289438550699</v>
      </c>
      <c r="F56">
        <f t="shared" si="5"/>
        <v>0.54829088482803268</v>
      </c>
      <c r="G56" s="20">
        <f t="shared" si="6"/>
        <v>1.2965019231916326</v>
      </c>
    </row>
  </sheetData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2</vt:i4>
      </vt:variant>
      <vt:variant>
        <vt:lpstr>Именованные диапазоны</vt:lpstr>
      </vt:variant>
      <vt:variant>
        <vt:i4>7</vt:i4>
      </vt:variant>
    </vt:vector>
  </HeadingPairs>
  <TitlesOfParts>
    <vt:vector size="9" baseType="lpstr">
      <vt:lpstr>Лист1</vt:lpstr>
      <vt:lpstr>Лист2</vt:lpstr>
      <vt:lpstr>A</vt:lpstr>
      <vt:lpstr>X</vt:lpstr>
      <vt:lpstr>Xt</vt:lpstr>
      <vt:lpstr>XtX</vt:lpstr>
      <vt:lpstr>XtXobr</vt:lpstr>
      <vt:lpstr>XtY</vt:lpstr>
      <vt:lpstr>Y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Ванюлин Александр Николаевич</dc:creator>
  <cp:lastModifiedBy>Ванюлин Александр Николаевич</cp:lastModifiedBy>
  <dcterms:created xsi:type="dcterms:W3CDTF">2024-02-12T07:09:28Z</dcterms:created>
  <dcterms:modified xsi:type="dcterms:W3CDTF">2024-02-15T07:04:50Z</dcterms:modified>
</cp:coreProperties>
</file>